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2022\01054\E. Reports_Specs\ITCC Standards\Parking Calculator\"/>
    </mc:Choice>
  </mc:AlternateContent>
  <xr:revisionPtr revIDLastSave="0" documentId="13_ncr:1_{EDD1EA70-7E15-4D40-AADF-5B2105461AC4}" xr6:coauthVersionLast="47" xr6:coauthVersionMax="47" xr10:uidLastSave="{00000000-0000-0000-0000-000000000000}"/>
  <workbookProtection workbookAlgorithmName="SHA-512" workbookHashValue="Bd/0DB9mLnpmrYTVvn5cZ2s2rLHvT71QItGpWWwJfwoNiqx1myCl7pyzGx/Mjs6NgWQ+WsyyHHQkq/7Io4cUQg==" workbookSaltValue="/wncjgx3yqYvUO2wf+4itA==" workbookSpinCount="100000" lockStructure="1"/>
  <bookViews>
    <workbookView xWindow="-120" yWindow="-120" windowWidth="29040" windowHeight="15840" xr2:uid="{00000000-000D-0000-FFFF-FFFF00000000}"/>
  </bookViews>
  <sheets>
    <sheet name="Calculator" sheetId="2" r:id="rId1"/>
    <sheet name="Default Values" sheetId="1" r:id="rId2"/>
    <sheet name="Range Calculator" sheetId="4" r:id="rId3"/>
    <sheet name="Factors and Definition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29" i="2" s="1"/>
  <c r="B19" i="4"/>
  <c r="B17" i="4"/>
  <c r="C10" i="4"/>
  <c r="C5" i="4"/>
  <c r="C34" i="2"/>
  <c r="C19" i="2"/>
  <c r="C18" i="2"/>
  <c r="C15" i="2"/>
  <c r="C14" i="2"/>
  <c r="C13" i="2"/>
  <c r="C12" i="2"/>
  <c r="C28" i="2" l="1"/>
  <c r="C19" i="4"/>
  <c r="D19" i="4"/>
  <c r="D17" i="4"/>
  <c r="C18" i="4"/>
  <c r="C17" i="4"/>
  <c r="C6" i="4"/>
  <c r="C9" i="4"/>
  <c r="C11" i="4"/>
  <c r="C12" i="4"/>
  <c r="C13" i="4"/>
  <c r="C8" i="4"/>
  <c r="C7" i="4"/>
  <c r="C30" i="2" l="1"/>
  <c r="D18" i="4"/>
  <c r="B18" i="4"/>
  <c r="C31" i="2" l="1"/>
  <c r="C33" i="2" s="1"/>
  <c r="C32" i="2" s="1"/>
  <c r="C35" i="2" l="1"/>
  <c r="C37" i="2" s="1"/>
</calcChain>
</file>

<file path=xl/sharedStrings.xml><?xml version="1.0" encoding="utf-8"?>
<sst xmlns="http://schemas.openxmlformats.org/spreadsheetml/2006/main" count="323" uniqueCount="240">
  <si>
    <t>Campus Type</t>
  </si>
  <si>
    <t>Student Drive-Alone</t>
  </si>
  <si>
    <t>Capture Factor</t>
  </si>
  <si>
    <t>Attendance Factor</t>
  </si>
  <si>
    <t>Visitor %</t>
  </si>
  <si>
    <t>Target Utilization</t>
  </si>
  <si>
    <t>Urban</t>
  </si>
  <si>
    <t>Suburban Commuter</t>
  </si>
  <si>
    <t>Rural</t>
  </si>
  <si>
    <t>Shared-Use District</t>
  </si>
  <si>
    <t>Transit Service Level</t>
  </si>
  <si>
    <t>Transit Reduction</t>
  </si>
  <si>
    <t>None</t>
  </si>
  <si>
    <t>Low</t>
  </si>
  <si>
    <t>Moderate</t>
  </si>
  <si>
    <t>High</t>
  </si>
  <si>
    <t>Campus Profile</t>
  </si>
  <si>
    <t>Campus name</t>
  </si>
  <si>
    <t>Campus type</t>
  </si>
  <si>
    <t>Transit service level</t>
  </si>
  <si>
    <t>Notes</t>
  </si>
  <si>
    <t>Student drive-alone rate</t>
  </si>
  <si>
    <t>Capture factor (turnover/shared use)</t>
  </si>
  <si>
    <t>In-person attendance factor (hybrid/online)</t>
  </si>
  <si>
    <t>Transit adjustment (reduction)</t>
  </si>
  <si>
    <t>Faculty + staff FTE employees</t>
  </si>
  <si>
    <t>Employee drive-alone rate</t>
  </si>
  <si>
    <t>Employee peak presence factor</t>
  </si>
  <si>
    <t>Visitor allowance (% of subtotal)</t>
  </si>
  <si>
    <t>Percent arriving by car</t>
  </si>
  <si>
    <t>If most attendees are already on campus (students), use a lower percent.</t>
  </si>
  <si>
    <t>Average vehicle occupancy</t>
  </si>
  <si>
    <t>0% for evenings/weekends; 100% if the event fully overlaps the academic peak.</t>
  </si>
  <si>
    <t>Event parking demand (spaces)</t>
  </si>
  <si>
    <t>Students @ peak</t>
  </si>
  <si>
    <t>Transit reduction</t>
  </si>
  <si>
    <t>Capture factor</t>
  </si>
  <si>
    <t>Driver</t>
  </si>
  <si>
    <t>Units/Notes</t>
  </si>
  <si>
    <t>Headcount</t>
  </si>
  <si>
    <t>Percent</t>
  </si>
  <si>
    <t>In-person attendance</t>
  </si>
  <si>
    <t>Percent reduction</t>
  </si>
  <si>
    <t>Factor</t>
  </si>
  <si>
    <t>Employees FTE</t>
  </si>
  <si>
    <t>FTE</t>
  </si>
  <si>
    <t>Visitor allowance</t>
  </si>
  <si>
    <t>Spaces (already accounts for occupancy/overlap).</t>
  </si>
  <si>
    <t>Target utilization</t>
  </si>
  <si>
    <t>Scenario</t>
  </si>
  <si>
    <t>Base</t>
  </si>
  <si>
    <t>Results</t>
  </si>
  <si>
    <t>Ivy Tech Parking Calculator</t>
  </si>
  <si>
    <t>Default</t>
  </si>
  <si>
    <t>Override</t>
  </si>
  <si>
    <t>Students on campus at peak hour</t>
  </si>
  <si>
    <t>Transit-Served Suburban</t>
  </si>
  <si>
    <t>Campus Context</t>
  </si>
  <si>
    <t>Typical Student Drive-Alone Rate</t>
  </si>
  <si>
    <t>Planning Range</t>
  </si>
  <si>
    <t>Parking Pressure Risk</t>
  </si>
  <si>
    <t>Urban / Transit-rich</t>
  </si>
  <si>
    <t>50 to 65%</t>
  </si>
  <si>
    <t>45 to 70%</t>
  </si>
  <si>
    <t>Strong transit and walk access reduce demand</t>
  </si>
  <si>
    <t>Transit-served suburban</t>
  </si>
  <si>
    <t>60 to 75%</t>
  </si>
  <si>
    <t>55 to 80%</t>
  </si>
  <si>
    <t>Moderate–High</t>
  </si>
  <si>
    <t>Common for inner-ring commuter campuses</t>
  </si>
  <si>
    <t>Suburban commuter (typical Ivy Tech)</t>
  </si>
  <si>
    <t>70 to 80%</t>
  </si>
  <si>
    <t>65 to 85%</t>
  </si>
  <si>
    <t>Most Ivy Tech locations likely fall here</t>
  </si>
  <si>
    <t>Rural community college</t>
  </si>
  <si>
    <t>80 to 90%</t>
  </si>
  <si>
    <t>75 to 95%</t>
  </si>
  <si>
    <t>Very High</t>
  </si>
  <si>
    <t>Limited modal options</t>
  </si>
  <si>
    <t>Shared-use / downtown mixed-use</t>
  </si>
  <si>
    <t>55 to 70%</t>
  </si>
  <si>
    <t>50 to 75%</t>
  </si>
  <si>
    <t>Variable</t>
  </si>
  <si>
    <t>Depends heavily on parking management</t>
  </si>
  <si>
    <t>Typical Capture Factor</t>
  </si>
  <si>
    <t>Parking Efficiency Level</t>
  </si>
  <si>
    <t>Urban / shared-use district</t>
  </si>
  <si>
    <t>0.80–0.90</t>
  </si>
  <si>
    <t>High efficiency</t>
  </si>
  <si>
    <t>Staggered arrivals, shared parking, strong management</t>
  </si>
  <si>
    <t>Some schedule staggering</t>
  </si>
  <si>
    <t>0.88–0.92</t>
  </si>
  <si>
    <t>0.90–0.95</t>
  </si>
  <si>
    <t>Low–Moderate</t>
  </si>
  <si>
    <t>Less turnover, more synchronized arrival</t>
  </si>
  <si>
    <t>Highly synchronized schedule (labs, block scheduling)</t>
  </si>
  <si>
    <t>Low efficiency</t>
  </si>
  <si>
    <t>Minimal reuse during peak window</t>
  </si>
  <si>
    <r>
      <t>Capture Factor:</t>
    </r>
    <r>
      <rPr>
        <sz val="11"/>
        <color theme="1"/>
        <rFont val="Calibri"/>
        <family val="2"/>
        <scheme val="minor"/>
      </rPr>
      <t xml:space="preserve"> The portion of calculated peak parking demand that must be accommodated simultaneously after accounting for turnover and shared use. A lower number assumes more efficient reuse of spaces during the peak window.</t>
    </r>
  </si>
  <si>
    <t>Student Drive-Alone Rates</t>
  </si>
  <si>
    <t>Event attendance during peak hours</t>
  </si>
  <si>
    <t>Headcount for the largest typical event that overlaps peak hours.</t>
  </si>
  <si>
    <t>Typical Attendance Factor</t>
  </si>
  <si>
    <t>Hybrid Influence</t>
  </si>
  <si>
    <t>Urban / highly hybrid</t>
  </si>
  <si>
    <t>0.75–0.80</t>
  </si>
  <si>
    <t>0.70–0.85</t>
  </si>
  <si>
    <t>More online and flexible delivery</t>
  </si>
  <si>
    <t>0.80–0.85</t>
  </si>
  <si>
    <t>0.75–0.90</t>
  </si>
  <si>
    <t>Mix of in-person and hybrid</t>
  </si>
  <si>
    <t>Most campuses likely here</t>
  </si>
  <si>
    <t>0.85–0.95</t>
  </si>
  <si>
    <t>Higher in-person consistency</t>
  </si>
  <si>
    <t>Highly residential / cohort programs</t>
  </si>
  <si>
    <t>0.88–1.00</t>
  </si>
  <si>
    <t>Less applicable to Ivy Tech</t>
  </si>
  <si>
    <r>
      <t xml:space="preserve">In-Person Attendance Factor: </t>
    </r>
    <r>
      <rPr>
        <sz val="11"/>
        <color theme="1"/>
        <rFont val="Calibri"/>
        <family val="2"/>
        <scheme val="minor"/>
      </rPr>
      <t>The share of students scheduled to be on campus during the peak period who actually attend in person.</t>
    </r>
  </si>
  <si>
    <t>Typical Employee Drive-Alone</t>
  </si>
  <si>
    <t>TDM Influence</t>
  </si>
  <si>
    <t>Urban / strong transit</t>
  </si>
  <si>
    <t>Parking pricing and transit matter</t>
  </si>
  <si>
    <t>75 to 85%</t>
  </si>
  <si>
    <t>70 to 90%</t>
  </si>
  <si>
    <t>Some modal options available</t>
  </si>
  <si>
    <t>88 to 93%</t>
  </si>
  <si>
    <t>85 to 95%</t>
  </si>
  <si>
    <t>92 to 97%</t>
  </si>
  <si>
    <t>90 to 98%</t>
  </si>
  <si>
    <t>Very low</t>
  </si>
  <si>
    <t>Few alternatives to driving</t>
  </si>
  <si>
    <t>Campuses with aggressive TDM programs</t>
  </si>
  <si>
    <t>65 to 80%</t>
  </si>
  <si>
    <t>60 to 85%</t>
  </si>
  <si>
    <t>Usually large research universities</t>
  </si>
  <si>
    <r>
      <t>Employee Drive-Alone Rate:</t>
    </r>
    <r>
      <rPr>
        <sz val="11"/>
        <color theme="1"/>
        <rFont val="Calibri"/>
        <family val="2"/>
        <scheme val="minor"/>
      </rPr>
      <t xml:space="preserve"> The share of faculty and staff present on campus during the peak period who arrive in single-occupant vehicles.</t>
    </r>
  </si>
  <si>
    <r>
      <rPr>
        <b/>
        <sz val="11"/>
        <color theme="1"/>
        <rFont val="Calibri"/>
        <family val="2"/>
        <scheme val="minor"/>
      </rPr>
      <t xml:space="preserve">Employee Peak Presence Factor: </t>
    </r>
    <r>
      <rPr>
        <sz val="11"/>
        <color theme="1"/>
        <rFont val="Calibri"/>
        <family val="2"/>
        <scheme val="minor"/>
      </rPr>
      <t>The share of total employees (FTE) who are physically present on campus during the peak parking period.</t>
    </r>
  </si>
  <si>
    <t>Typical Peak Presence</t>
  </si>
  <si>
    <t>Workplace Flexibility Influence</t>
  </si>
  <si>
    <t>Urban / high flexibility</t>
  </si>
  <si>
    <t>0.70–0.90</t>
  </si>
  <si>
    <t>More hybrid work and staggered schedules</t>
  </si>
  <si>
    <t>0.80–0.92</t>
  </si>
  <si>
    <t>Some telework and schedule variation</t>
  </si>
  <si>
    <t>0.88–0.97</t>
  </si>
  <si>
    <t>More traditional on-site staffing</t>
  </si>
  <si>
    <t>Highly shift-based workforce campuses</t>
  </si>
  <si>
    <t>Workforce training centers may vary</t>
  </si>
  <si>
    <r>
      <rPr>
        <b/>
        <sz val="11"/>
        <color theme="1"/>
        <rFont val="Calibri"/>
        <family val="2"/>
        <scheme val="minor"/>
      </rPr>
      <t>Target Utilization</t>
    </r>
    <r>
      <rPr>
        <sz val="11"/>
        <color theme="1"/>
        <rFont val="Calibri"/>
        <family val="2"/>
        <scheme val="minor"/>
      </rPr>
      <t>: The maximum parking occupancy level the campus plans to operate at during peak periods while still providing acceptable user experience.</t>
    </r>
  </si>
  <si>
    <t>Typical Target Utilization</t>
  </si>
  <si>
    <t>User Experience Level</t>
  </si>
  <si>
    <t>Urban / constrained parking</t>
  </si>
  <si>
    <t>88–92%</t>
  </si>
  <si>
    <t>Tight but acceptable</t>
  </si>
  <si>
    <t>Users tolerate fuller conditions</t>
  </si>
  <si>
    <t>87–91%</t>
  </si>
  <si>
    <t>Moderately tight</t>
  </si>
  <si>
    <t>Some alternative modes</t>
  </si>
  <si>
    <t>85–90%</t>
  </si>
  <si>
    <t>Balanced</t>
  </si>
  <si>
    <t>Recommended system default</t>
  </si>
  <si>
    <t>Acceptable</t>
  </si>
  <si>
    <t>Larger lots, easier circulation</t>
  </si>
  <si>
    <t>Shared-use / managed structures</t>
  </si>
  <si>
    <t>90–92%</t>
  </si>
  <si>
    <t>88–93%</t>
  </si>
  <si>
    <t>Managed tight</t>
  </si>
  <si>
    <t>Often acceptable with good wayfinding</t>
  </si>
  <si>
    <t>Parking Factors</t>
  </si>
  <si>
    <t>Event parking</t>
  </si>
  <si>
    <t>Event Parking Calculation (Optional)</t>
  </si>
  <si>
    <t>Parking Spaces</t>
  </si>
  <si>
    <t xml:space="preserve">Student Parking </t>
  </si>
  <si>
    <t>Faculty/staff Parking</t>
  </si>
  <si>
    <t>Visitor Allowance</t>
  </si>
  <si>
    <t>Required Parking Spaces</t>
  </si>
  <si>
    <t>This is the larger value of either visitor spaces or event parking spaces.</t>
  </si>
  <si>
    <t>Most campuses are suburban commuter campuses</t>
  </si>
  <si>
    <t>Default values can be overridden by entering new values in the override column. See the "Factors and Definitions" tab to verify appropriate values.</t>
  </si>
  <si>
    <t>Event overalp with peak campus occupancy</t>
  </si>
  <si>
    <t>Assumptions</t>
  </si>
  <si>
    <t>Base Case</t>
  </si>
  <si>
    <t>Test low/base/high scenarios with alternate values or factors to evaluate results</t>
  </si>
  <si>
    <t>Useage of public transportation, bicycle, or ride share services on campus</t>
  </si>
  <si>
    <t>Edit values in light green cells</t>
  </si>
  <si>
    <t>ADA Accessible Spaces</t>
  </si>
  <si>
    <t>ADA Accessible Van Spaces</t>
  </si>
  <si>
    <t>Number of spaces required at target utilization. ADA spaces included, event parking not included.</t>
  </si>
  <si>
    <t>This value is based on the total number of spaces, but accessible spaces must be calculated per parking lot.</t>
  </si>
  <si>
    <t>Updated: 2/19/2026</t>
  </si>
  <si>
    <t>Calculator Notes</t>
  </si>
  <si>
    <t>User Notes</t>
  </si>
  <si>
    <t>1 van space required for every 6 accessible spaces. This number is not included in accessible space count.</t>
  </si>
  <si>
    <t>Number of additional event parking spaces needed, if calculated above</t>
  </si>
  <si>
    <t>Higher vehicle occupancy lowers parking need; job fairs often 1.5–2.5.</t>
  </si>
  <si>
    <r>
      <t>Average Vehicle Occupancy:</t>
    </r>
    <r>
      <rPr>
        <sz val="11"/>
        <color theme="1"/>
        <rFont val="Calibri"/>
        <family val="2"/>
        <scheme val="minor"/>
      </rPr>
      <t xml:space="preserve"> The average number of people traveling in a vehicle.</t>
    </r>
  </si>
  <si>
    <t>Average Vehicle Occupancy by Event Type</t>
  </si>
  <si>
    <t>Typical Range</t>
  </si>
  <si>
    <t>Planning Default</t>
  </si>
  <si>
    <t>Graduation / Commencement</t>
  </si>
  <si>
    <t>2.4 – 3.2</t>
  </si>
  <si>
    <t>Families travel together; highest occupancies</t>
  </si>
  <si>
    <t>Job Fair / Career Fair</t>
  </si>
  <si>
    <t>1.2 – 1.6</t>
  </si>
  <si>
    <t>Behaves similar to work trips</t>
  </si>
  <si>
    <t>Guest Speaker / Lecture</t>
  </si>
  <si>
    <t>1.3 – 1.8</t>
  </si>
  <si>
    <t>Medium-High</t>
  </si>
  <si>
    <t>Some carpooling, still individual</t>
  </si>
  <si>
    <t>Performing Arts / Theater</t>
  </si>
  <si>
    <t>2.0 – 2.6</t>
  </si>
  <si>
    <t>Medium</t>
  </si>
  <si>
    <t>Social attendance patterns</t>
  </si>
  <si>
    <t>Athletics (non-major)</t>
  </si>
  <si>
    <t>2.2 – 3.0</t>
  </si>
  <si>
    <t>Family/group travel</t>
  </si>
  <si>
    <t>Open House / Campus Visit Day</t>
  </si>
  <si>
    <t>2.0 – 2.8</t>
  </si>
  <si>
    <t>Prospective students with parents</t>
  </si>
  <si>
    <t>Community Meeting / Public Forum</t>
  </si>
  <si>
    <t>1.4 – 2.0</t>
  </si>
  <si>
    <t>Mixed behavior</t>
  </si>
  <si>
    <t>Professional Training / Workforce Workshop</t>
  </si>
  <si>
    <t>1.1 – 1.4</t>
  </si>
  <si>
    <t>Very commute-like</t>
  </si>
  <si>
    <t>Confidence in Statistical Accuracy</t>
  </si>
  <si>
    <t>Data shown on this page is based on national research but is not Ivy Tech specific. This data could be further refined by specifically studying Ivy Tech campuses.</t>
  </si>
  <si>
    <t>80% - 90%</t>
  </si>
  <si>
    <t>88% - 92%</t>
  </si>
  <si>
    <t>85% - 92%</t>
  </si>
  <si>
    <t>90% - 95%</t>
  </si>
  <si>
    <t>92% - 100%</t>
  </si>
  <si>
    <t>Total Spaces</t>
  </si>
  <si>
    <t>Student Parking</t>
  </si>
  <si>
    <t>Staff Parking</t>
  </si>
  <si>
    <t>Uses highest number of either visitor allowance or event parking for visitors.</t>
  </si>
  <si>
    <t>Total Required Parking + Event Parking</t>
  </si>
  <si>
    <t>Total spaces required, including event parking, minus existing parking</t>
  </si>
  <si>
    <t>Existing Parking Spaces</t>
  </si>
  <si>
    <t>Required New Parking 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</si>
</sst>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color rgb="FF666666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1AD49"/>
        <bgColor indexed="64"/>
      </patternFill>
    </fill>
  </fills>
  <borders count="20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 applyAlignment="1">
      <alignment horizontal="left"/>
    </xf>
    <xf numFmtId="0" fontId="7" fillId="0" borderId="0" xfId="0" applyFont="1"/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9" fontId="0" fillId="0" borderId="2" xfId="0" applyNumberForma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10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/>
    <xf numFmtId="0" fontId="13" fillId="5" borderId="1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" fontId="9" fillId="3" borderId="0" xfId="0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5" fontId="9" fillId="4" borderId="1" xfId="1" applyNumberFormat="1" applyFont="1" applyFill="1" applyBorder="1" applyAlignment="1" applyProtection="1">
      <alignment horizontal="right" vertical="center"/>
      <protection locked="0"/>
    </xf>
    <xf numFmtId="164" fontId="3" fillId="4" borderId="1" xfId="0" applyNumberFormat="1" applyFont="1" applyFill="1" applyBorder="1" applyAlignment="1" applyProtection="1">
      <alignment horizontal="right" vertical="center"/>
      <protection locked="0"/>
    </xf>
    <xf numFmtId="2" fontId="3" fillId="4" borderId="1" xfId="0" applyNumberFormat="1" applyFont="1" applyFill="1" applyBorder="1" applyAlignment="1" applyProtection="1">
      <alignment horizontal="right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right" vertical="center"/>
      <protection locked="0"/>
    </xf>
    <xf numFmtId="166" fontId="9" fillId="4" borderId="1" xfId="0" applyNumberFormat="1" applyFont="1" applyFill="1" applyBorder="1" applyAlignment="1" applyProtection="1">
      <alignment horizontal="right" vertical="center"/>
      <protection locked="0"/>
    </xf>
    <xf numFmtId="164" fontId="9" fillId="4" borderId="1" xfId="0" applyNumberFormat="1" applyFont="1" applyFill="1" applyBorder="1" applyAlignment="1" applyProtection="1">
      <alignment horizontal="right" vertical="center"/>
      <protection locked="0"/>
    </xf>
    <xf numFmtId="1" fontId="3" fillId="4" borderId="1" xfId="0" applyNumberFormat="1" applyFont="1" applyFill="1" applyBorder="1" applyAlignment="1" applyProtection="1">
      <alignment horizontal="right" vertical="center"/>
      <protection locked="0"/>
    </xf>
    <xf numFmtId="164" fontId="9" fillId="3" borderId="1" xfId="0" applyNumberFormat="1" applyFont="1" applyFill="1" applyBorder="1" applyAlignment="1" applyProtection="1">
      <alignment horizontal="right" vertical="center"/>
      <protection hidden="1"/>
    </xf>
    <xf numFmtId="1" fontId="9" fillId="3" borderId="1" xfId="0" applyNumberFormat="1" applyFont="1" applyFill="1" applyBorder="1" applyAlignment="1" applyProtection="1">
      <alignment horizontal="right" vertical="center"/>
      <protection hidden="1"/>
    </xf>
    <xf numFmtId="1" fontId="9" fillId="3" borderId="3" xfId="0" applyNumberFormat="1" applyFont="1" applyFill="1" applyBorder="1" applyAlignment="1" applyProtection="1">
      <alignment horizontal="right" vertical="center"/>
      <protection hidden="1"/>
    </xf>
    <xf numFmtId="1" fontId="9" fillId="3" borderId="4" xfId="0" applyNumberFormat="1" applyFont="1" applyFill="1" applyBorder="1" applyAlignment="1" applyProtection="1">
      <alignment horizontal="right" vertical="center"/>
      <protection hidden="1"/>
    </xf>
    <xf numFmtId="1" fontId="2" fillId="0" borderId="1" xfId="0" applyNumberFormat="1" applyFont="1" applyBorder="1" applyAlignment="1" applyProtection="1">
      <alignment horizontal="right" vertical="center"/>
      <protection hidden="1"/>
    </xf>
    <xf numFmtId="1" fontId="0" fillId="0" borderId="1" xfId="0" applyNumberFormat="1" applyBorder="1" applyAlignment="1" applyProtection="1">
      <alignment horizontal="right" vertical="center"/>
      <protection hidden="1"/>
    </xf>
    <xf numFmtId="0" fontId="0" fillId="0" borderId="0" xfId="0" applyAlignment="1">
      <alignment horizontal="left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9" fontId="0" fillId="0" borderId="1" xfId="2" applyFont="1" applyBorder="1" applyAlignment="1">
      <alignment horizontal="right" vertical="center"/>
    </xf>
    <xf numFmtId="164" fontId="0" fillId="0" borderId="1" xfId="2" applyNumberFormat="1" applyFont="1" applyBorder="1" applyAlignment="1">
      <alignment horizontal="right" vertical="center"/>
    </xf>
    <xf numFmtId="9" fontId="0" fillId="0" borderId="2" xfId="2" applyFont="1" applyBorder="1" applyAlignment="1">
      <alignment horizontal="left" vertical="center" wrapText="1"/>
    </xf>
    <xf numFmtId="9" fontId="0" fillId="0" borderId="17" xfId="2" applyFont="1" applyBorder="1" applyAlignment="1">
      <alignment horizontal="left" vertical="center" wrapText="1"/>
    </xf>
    <xf numFmtId="165" fontId="13" fillId="5" borderId="7" xfId="1" applyNumberFormat="1" applyFont="1" applyFill="1" applyBorder="1" applyAlignment="1" applyProtection="1">
      <alignment vertical="center" wrapText="1"/>
      <protection hidden="1"/>
    </xf>
    <xf numFmtId="0" fontId="13" fillId="5" borderId="6" xfId="0" applyFont="1" applyFill="1" applyBorder="1" applyAlignment="1" applyProtection="1">
      <alignment vertical="center" wrapText="1"/>
      <protection hidden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41AD49"/>
      <color rgb="FF0066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H38"/>
  <sheetViews>
    <sheetView showGridLines="0" tabSelected="1" zoomScaleNormal="100" workbookViewId="0">
      <selection activeCell="D1" sqref="D1"/>
    </sheetView>
  </sheetViews>
  <sheetFormatPr defaultRowHeight="15" x14ac:dyDescent="0.25"/>
  <cols>
    <col min="1" max="1" width="2.28515625" customWidth="1"/>
    <col min="2" max="2" width="46.5703125" customWidth="1"/>
    <col min="3" max="3" width="33.7109375" customWidth="1"/>
    <col min="4" max="4" width="9.42578125" customWidth="1"/>
    <col min="5" max="5" width="2" customWidth="1"/>
    <col min="6" max="6" width="96.140625" customWidth="1"/>
    <col min="7" max="7" width="79.85546875" customWidth="1"/>
  </cols>
  <sheetData>
    <row r="1" spans="2:7" ht="28.5" customHeight="1" x14ac:dyDescent="0.25">
      <c r="B1" s="8" t="s">
        <v>52</v>
      </c>
      <c r="F1" s="9" t="s">
        <v>189</v>
      </c>
    </row>
    <row r="2" spans="2:7" x14ac:dyDescent="0.25">
      <c r="B2" s="26" t="s">
        <v>184</v>
      </c>
      <c r="F2" s="9"/>
    </row>
    <row r="4" spans="2:7" s="19" customFormat="1" ht="15.75" x14ac:dyDescent="0.25">
      <c r="B4" s="23" t="s">
        <v>16</v>
      </c>
      <c r="C4" s="23"/>
      <c r="D4" s="23"/>
      <c r="E4" s="23"/>
      <c r="F4" s="23" t="s">
        <v>190</v>
      </c>
      <c r="G4" s="23" t="s">
        <v>191</v>
      </c>
    </row>
    <row r="5" spans="2:7" x14ac:dyDescent="0.25">
      <c r="B5" s="3" t="s">
        <v>17</v>
      </c>
      <c r="C5" s="31"/>
      <c r="F5" s="5"/>
      <c r="G5" s="71"/>
    </row>
    <row r="6" spans="2:7" x14ac:dyDescent="0.25">
      <c r="B6" s="3" t="s">
        <v>18</v>
      </c>
      <c r="C6" s="31"/>
      <c r="F6" s="5" t="s">
        <v>177</v>
      </c>
      <c r="G6" s="71"/>
    </row>
    <row r="7" spans="2:7" x14ac:dyDescent="0.25">
      <c r="B7" s="3" t="s">
        <v>19</v>
      </c>
      <c r="C7" s="31"/>
      <c r="F7" s="5" t="s">
        <v>183</v>
      </c>
      <c r="G7" s="71"/>
    </row>
    <row r="8" spans="2:7" x14ac:dyDescent="0.25">
      <c r="B8" s="3" t="s">
        <v>55</v>
      </c>
      <c r="C8" s="32"/>
      <c r="F8" s="5" t="s">
        <v>39</v>
      </c>
      <c r="G8" s="71"/>
    </row>
    <row r="9" spans="2:7" x14ac:dyDescent="0.25">
      <c r="B9" s="3" t="s">
        <v>25</v>
      </c>
      <c r="C9" s="32"/>
      <c r="F9" s="5" t="s">
        <v>45</v>
      </c>
      <c r="G9" s="71"/>
    </row>
    <row r="11" spans="2:7" s="19" customFormat="1" ht="15.75" x14ac:dyDescent="0.25">
      <c r="B11" s="23" t="s">
        <v>168</v>
      </c>
      <c r="C11" s="23" t="s">
        <v>53</v>
      </c>
      <c r="D11" s="23" t="s">
        <v>54</v>
      </c>
      <c r="E11" s="23"/>
      <c r="F11" s="23" t="s">
        <v>190</v>
      </c>
      <c r="G11" s="23" t="s">
        <v>191</v>
      </c>
    </row>
    <row r="12" spans="2:7" x14ac:dyDescent="0.25">
      <c r="B12" s="3" t="s">
        <v>21</v>
      </c>
      <c r="C12" s="41" t="e">
        <f>IF($D12&lt;&gt;"",$D12,INDEX('Default Values'!$B$4:$B$8,MATCH($C$6,'Default Values'!$A$4:$A$8,0)))</f>
        <v>#N/A</v>
      </c>
      <c r="D12" s="33"/>
      <c r="F12" s="72" t="s">
        <v>178</v>
      </c>
      <c r="G12" s="71"/>
    </row>
    <row r="13" spans="2:7" x14ac:dyDescent="0.25">
      <c r="B13" s="3" t="s">
        <v>22</v>
      </c>
      <c r="C13" s="41" t="e">
        <f>IF($D13&lt;&gt;"",$D13,INDEX('Default Values'!$C$4:$C$8,MATCH($C$6,'Default Values'!$A$4:$A$8,0)))</f>
        <v>#N/A</v>
      </c>
      <c r="D13" s="34"/>
      <c r="F13" s="73"/>
      <c r="G13" s="71"/>
    </row>
    <row r="14" spans="2:7" x14ac:dyDescent="0.25">
      <c r="B14" s="3" t="s">
        <v>23</v>
      </c>
      <c r="C14" s="41" t="e">
        <f>IF($D14&lt;&gt;"",$D14,INDEX('Default Values'!$D$4:$D$8,MATCH($C$6,'Default Values'!$A$4:$A$8,0)))</f>
        <v>#N/A</v>
      </c>
      <c r="D14" s="33"/>
      <c r="F14" s="73"/>
      <c r="G14" s="71"/>
    </row>
    <row r="15" spans="2:7" x14ac:dyDescent="0.25">
      <c r="B15" s="3" t="s">
        <v>24</v>
      </c>
      <c r="C15" s="41" t="e">
        <f>IF($D15&lt;&gt;"",$D15,INDEX('Default Values'!$B$12:$B$15,MATCH($C$7,'Default Values'!$A$12:$A$15,0)))</f>
        <v>#N/A</v>
      </c>
      <c r="D15" s="33"/>
      <c r="F15" s="73"/>
      <c r="G15" s="71"/>
    </row>
    <row r="16" spans="2:7" x14ac:dyDescent="0.25">
      <c r="B16" s="3" t="s">
        <v>26</v>
      </c>
      <c r="C16" s="41" t="e">
        <f>IF($D16&lt;&gt;"",$D16,INDEX('Default Values'!$G$4:$G$8,MATCH($C$6,'Default Values'!$A$4:$A$8,0)))</f>
        <v>#N/A</v>
      </c>
      <c r="D16" s="35"/>
      <c r="F16" s="73"/>
      <c r="G16" s="71"/>
    </row>
    <row r="17" spans="2:8" x14ac:dyDescent="0.25">
      <c r="B17" s="3" t="s">
        <v>27</v>
      </c>
      <c r="C17" s="41" t="e">
        <f>IF($D17&lt;&gt;"",$D17,INDEX('Default Values'!$H$4:$H$8,MATCH($C$6,'Default Values'!$A$4:$A$8,0)))</f>
        <v>#N/A</v>
      </c>
      <c r="D17" s="35"/>
      <c r="F17" s="73"/>
      <c r="G17" s="71"/>
    </row>
    <row r="18" spans="2:8" x14ac:dyDescent="0.25">
      <c r="B18" s="3" t="s">
        <v>28</v>
      </c>
      <c r="C18" s="41" t="e">
        <f>IF($D18&lt;&gt;"",$D18,INDEX('Default Values'!$E$4:$E$8,MATCH($C$6,'Default Values'!$A$4:$A$8,0)))</f>
        <v>#N/A</v>
      </c>
      <c r="D18" s="33"/>
      <c r="F18" s="73"/>
      <c r="G18" s="71"/>
    </row>
    <row r="19" spans="2:8" x14ac:dyDescent="0.25">
      <c r="B19" s="15" t="s">
        <v>5</v>
      </c>
      <c r="C19" s="41" t="e">
        <f>IF($D19&lt;&gt;"",$D19,INDEX('Default Values'!$F$4:$F$8,MATCH($C$6,'Default Values'!$A$4:$A$8,0)))</f>
        <v>#N/A</v>
      </c>
      <c r="D19" s="33"/>
      <c r="F19" s="74"/>
      <c r="G19" s="71"/>
    </row>
    <row r="21" spans="2:8" s="19" customFormat="1" ht="15.75" x14ac:dyDescent="0.25">
      <c r="B21" s="23" t="s">
        <v>170</v>
      </c>
      <c r="C21" s="23"/>
      <c r="D21" s="23"/>
      <c r="E21" s="23"/>
      <c r="F21" s="23" t="s">
        <v>190</v>
      </c>
      <c r="G21" s="23" t="s">
        <v>191</v>
      </c>
    </row>
    <row r="22" spans="2:8" x14ac:dyDescent="0.25">
      <c r="B22" s="15" t="s">
        <v>100</v>
      </c>
      <c r="C22" s="36"/>
      <c r="D22" s="18"/>
      <c r="F22" s="14" t="s">
        <v>101</v>
      </c>
      <c r="G22" s="71"/>
    </row>
    <row r="23" spans="2:8" x14ac:dyDescent="0.25">
      <c r="B23" s="3" t="s">
        <v>29</v>
      </c>
      <c r="C23" s="37"/>
      <c r="D23" s="18"/>
      <c r="F23" s="5" t="s">
        <v>30</v>
      </c>
      <c r="G23" s="71"/>
    </row>
    <row r="24" spans="2:8" x14ac:dyDescent="0.25">
      <c r="B24" s="3" t="s">
        <v>31</v>
      </c>
      <c r="C24" s="38"/>
      <c r="D24" s="18"/>
      <c r="F24" s="5" t="s">
        <v>194</v>
      </c>
      <c r="G24" s="71"/>
    </row>
    <row r="25" spans="2:8" x14ac:dyDescent="0.25">
      <c r="B25" s="15" t="s">
        <v>179</v>
      </c>
      <c r="C25" s="39"/>
      <c r="D25" s="18"/>
      <c r="F25" s="5" t="s">
        <v>32</v>
      </c>
      <c r="G25" s="71"/>
    </row>
    <row r="27" spans="2:8" s="19" customFormat="1" ht="15.75" x14ac:dyDescent="0.25">
      <c r="B27" s="23" t="s">
        <v>171</v>
      </c>
      <c r="C27" s="23"/>
      <c r="D27" s="23"/>
      <c r="E27" s="23"/>
      <c r="F27" s="23" t="s">
        <v>190</v>
      </c>
      <c r="G27" s="23" t="s">
        <v>191</v>
      </c>
    </row>
    <row r="28" spans="2:8" x14ac:dyDescent="0.25">
      <c r="B28" s="15" t="s">
        <v>172</v>
      </c>
      <c r="C28" s="42" t="e">
        <f>ROUND(Calculator!C8*Calculator!C12*Calculator!C14*(1-Calculator!C15)*Calculator!C13,0)</f>
        <v>#N/A</v>
      </c>
      <c r="F28" s="14"/>
      <c r="G28" s="71"/>
    </row>
    <row r="29" spans="2:8" x14ac:dyDescent="0.25">
      <c r="B29" s="15" t="s">
        <v>173</v>
      </c>
      <c r="C29" s="42" t="e">
        <f>ROUND(Calculator!C9*Calculator!C16*Calculator!C17,0)</f>
        <v>#N/A</v>
      </c>
      <c r="F29" s="5"/>
      <c r="G29" s="71"/>
    </row>
    <row r="30" spans="2:8" ht="15.75" thickBot="1" x14ac:dyDescent="0.3">
      <c r="B30" s="20" t="s">
        <v>174</v>
      </c>
      <c r="C30" s="43" t="e">
        <f>ROUND(MAX((C28+C29)*Calculator!C18,Calculator!C34),0)</f>
        <v>#N/A</v>
      </c>
      <c r="F30" s="14" t="s">
        <v>176</v>
      </c>
      <c r="G30" s="71"/>
    </row>
    <row r="31" spans="2:8" ht="16.5" thickBot="1" x14ac:dyDescent="0.3">
      <c r="B31" s="24" t="s">
        <v>175</v>
      </c>
      <c r="C31" s="69" t="e">
        <f>ROUND(SUM(C28:C30)/Calculator!C19,0)</f>
        <v>#N/A</v>
      </c>
      <c r="F31" s="5" t="s">
        <v>187</v>
      </c>
      <c r="G31" s="71"/>
    </row>
    <row r="32" spans="2:8" ht="30" x14ac:dyDescent="0.25">
      <c r="B32" s="3" t="s">
        <v>185</v>
      </c>
      <c r="C32" s="42" t="e">
        <f>IF(C31&lt;=0,0,IF(C31&lt;=25,1,IF(C31&lt;=50,2,IF(C31&lt;=75,3,IF(C31&lt;=100,4,IF(C31&lt;=150,5,IF(C31&lt;=200,6,IF(C31&lt;=300,7,IF(C31&lt;=400,8,IF(C31&lt;=500,9,IF(C31&lt;=1000,ROUNDUP(C31*0.02,0),20+ROUNDUP((C31-1000)/100,0))))))))))) - C33)</f>
        <v>#N/A</v>
      </c>
      <c r="F32" s="5" t="s">
        <v>188</v>
      </c>
      <c r="G32" s="71"/>
      <c r="H32" s="27"/>
    </row>
    <row r="33" spans="2:7" x14ac:dyDescent="0.25">
      <c r="B33" s="3" t="s">
        <v>186</v>
      </c>
      <c r="C33" s="42" t="e">
        <f>IF(C31&lt;=0,0,MAX(1,ROUNDUP(IF(C31&lt;=25,1,IF(C31&lt;=50,2,IF(C31&lt;=75,3,IF(C31&lt;=100,4,IF(C31&lt;=150,5,IF(C31&lt;=200,6,IF(C31&lt;=300,7,IF(C31&lt;=400,8,IF(C31&lt;=500,9,IF(C31&lt;=1000,ROUNDUP(C31*0.02,0),20+ROUNDUP((C31-1000)/100,0)))))))))))/6,0)))</f>
        <v>#N/A</v>
      </c>
      <c r="F33" s="5" t="s">
        <v>192</v>
      </c>
      <c r="G33" s="71"/>
    </row>
    <row r="34" spans="2:7" ht="15.75" thickBot="1" x14ac:dyDescent="0.3">
      <c r="B34" s="25" t="s">
        <v>169</v>
      </c>
      <c r="C34" s="44">
        <f>ROUND(IF(C24=0,0,C22*C23/C24*C25),0)</f>
        <v>0</v>
      </c>
      <c r="F34" s="5" t="s">
        <v>193</v>
      </c>
      <c r="G34" s="71"/>
    </row>
    <row r="35" spans="2:7" ht="16.5" thickBot="1" x14ac:dyDescent="0.3">
      <c r="B35" s="24" t="s">
        <v>236</v>
      </c>
      <c r="C35" s="69" t="e">
        <f>C31+C34</f>
        <v>#N/A</v>
      </c>
      <c r="F35" s="5"/>
      <c r="G35" s="71"/>
    </row>
    <row r="36" spans="2:7" ht="15.75" thickBot="1" x14ac:dyDescent="0.3">
      <c r="B36" s="3" t="s">
        <v>238</v>
      </c>
      <c r="C36" s="32"/>
      <c r="F36" s="5"/>
      <c r="G36" s="71"/>
    </row>
    <row r="37" spans="2:7" ht="16.5" thickBot="1" x14ac:dyDescent="0.3">
      <c r="B37" s="70" t="s">
        <v>239</v>
      </c>
      <c r="C37" s="69" t="e">
        <f>C35-C36</f>
        <v>#N/A</v>
      </c>
      <c r="F37" s="5" t="s">
        <v>237</v>
      </c>
      <c r="G37" s="71"/>
    </row>
    <row r="38" spans="2:7" x14ac:dyDescent="0.25">
      <c r="F38" s="27"/>
    </row>
  </sheetData>
  <sheetProtection algorithmName="SHA-512" hashValue="FgeGwa8gZlYbZPG8t1bEPqhQbrcPVyNQ+qho/lPd+nPo6hy5iO2WvA+m3iKUenPYLA9mwRWCxkB0m2JaRhTq/g==" saltValue="2zS0b/rX/QBSI3fagPjijg==" spinCount="100000" sheet="1" objects="1" scenarios="1"/>
  <mergeCells count="1">
    <mergeCell ref="F12:F19"/>
  </mergeCells>
  <dataValidations count="2">
    <dataValidation type="list" sqref="C6" xr:uid="{00000000-0002-0000-0100-000000000000}">
      <formula1>"Urban,Suburban Commuter,Rural,Transit-Served Suburban,Shared-Use District"</formula1>
    </dataValidation>
    <dataValidation type="list" sqref="C7" xr:uid="{00000000-0002-0000-0100-000001000000}">
      <formula1>"None,Low,Moderate,High"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workbookViewId="0">
      <selection activeCell="G12" sqref="G12"/>
    </sheetView>
  </sheetViews>
  <sheetFormatPr defaultRowHeight="15" x14ac:dyDescent="0.25"/>
  <cols>
    <col min="1" max="1" width="24.28515625" customWidth="1"/>
    <col min="2" max="2" width="20" customWidth="1"/>
    <col min="3" max="3" width="16" customWidth="1"/>
    <col min="4" max="4" width="18" customWidth="1"/>
    <col min="5" max="5" width="12" customWidth="1"/>
    <col min="6" max="6" width="16" customWidth="1"/>
    <col min="7" max="7" width="16.7109375" customWidth="1"/>
    <col min="8" max="8" width="19.42578125" customWidth="1"/>
  </cols>
  <sheetData>
    <row r="1" spans="1:8" ht="15.75" x14ac:dyDescent="0.25">
      <c r="A1" s="22"/>
    </row>
    <row r="3" spans="1:8" ht="47.25" x14ac:dyDescent="0.25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26</v>
      </c>
      <c r="H3" s="23" t="s">
        <v>27</v>
      </c>
    </row>
    <row r="4" spans="1:8" x14ac:dyDescent="0.25">
      <c r="A4" s="1" t="s">
        <v>6</v>
      </c>
      <c r="B4" s="2">
        <v>0.6</v>
      </c>
      <c r="C4" s="66">
        <v>0.88</v>
      </c>
      <c r="D4" s="2">
        <v>0.8</v>
      </c>
      <c r="E4" s="2">
        <v>0.05</v>
      </c>
      <c r="F4" s="2">
        <v>0.88</v>
      </c>
      <c r="G4" s="2">
        <v>0.92</v>
      </c>
      <c r="H4" s="2">
        <v>0.9</v>
      </c>
    </row>
    <row r="5" spans="1:8" x14ac:dyDescent="0.25">
      <c r="A5" s="1" t="s">
        <v>7</v>
      </c>
      <c r="B5" s="2">
        <v>0.75</v>
      </c>
      <c r="C5" s="66">
        <v>0.9</v>
      </c>
      <c r="D5" s="2">
        <v>0.85</v>
      </c>
      <c r="E5" s="2">
        <v>0.04</v>
      </c>
      <c r="F5" s="2">
        <v>0.88</v>
      </c>
      <c r="G5" s="2">
        <v>0.92</v>
      </c>
      <c r="H5" s="2">
        <v>0.9</v>
      </c>
    </row>
    <row r="6" spans="1:8" x14ac:dyDescent="0.25">
      <c r="A6" s="1" t="s">
        <v>8</v>
      </c>
      <c r="B6" s="2">
        <v>0.85</v>
      </c>
      <c r="C6" s="66">
        <v>0.92</v>
      </c>
      <c r="D6" s="2">
        <v>0.9</v>
      </c>
      <c r="E6" s="2">
        <v>0.04</v>
      </c>
      <c r="F6" s="2">
        <v>0.88</v>
      </c>
      <c r="G6" s="2">
        <v>0.92</v>
      </c>
      <c r="H6" s="2">
        <v>0.9</v>
      </c>
    </row>
    <row r="7" spans="1:8" x14ac:dyDescent="0.25">
      <c r="A7" s="1" t="s">
        <v>56</v>
      </c>
      <c r="B7" s="2">
        <v>0.65</v>
      </c>
      <c r="C7" s="66">
        <v>0.9</v>
      </c>
      <c r="D7" s="2">
        <v>0.85</v>
      </c>
      <c r="E7" s="2">
        <v>0.04</v>
      </c>
      <c r="F7" s="2">
        <v>0.88</v>
      </c>
      <c r="G7" s="2">
        <v>0.92</v>
      </c>
      <c r="H7" s="2">
        <v>0.9</v>
      </c>
    </row>
    <row r="8" spans="1:8" x14ac:dyDescent="0.25">
      <c r="A8" s="1" t="s">
        <v>9</v>
      </c>
      <c r="B8" s="2">
        <v>0.7</v>
      </c>
      <c r="C8" s="66">
        <v>0.85</v>
      </c>
      <c r="D8" s="2">
        <v>0.85</v>
      </c>
      <c r="E8" s="2">
        <v>0.05</v>
      </c>
      <c r="F8" s="2">
        <v>0.88</v>
      </c>
      <c r="G8" s="2">
        <v>0.92</v>
      </c>
      <c r="H8" s="2">
        <v>0.9</v>
      </c>
    </row>
    <row r="11" spans="1:8" ht="15.75" x14ac:dyDescent="0.25">
      <c r="A11" s="23" t="s">
        <v>10</v>
      </c>
      <c r="B11" s="23" t="s">
        <v>11</v>
      </c>
    </row>
    <row r="12" spans="1:8" x14ac:dyDescent="0.25">
      <c r="A12" s="1" t="s">
        <v>12</v>
      </c>
      <c r="B12" s="2">
        <v>0</v>
      </c>
    </row>
    <row r="13" spans="1:8" ht="15.75" x14ac:dyDescent="0.25">
      <c r="A13" s="1" t="s">
        <v>13</v>
      </c>
      <c r="B13" s="2">
        <v>0.05</v>
      </c>
      <c r="D13" s="21"/>
    </row>
    <row r="14" spans="1:8" x14ac:dyDescent="0.25">
      <c r="A14" s="1" t="s">
        <v>14</v>
      </c>
      <c r="B14" s="2">
        <v>0.12</v>
      </c>
    </row>
    <row r="15" spans="1:8" x14ac:dyDescent="0.25">
      <c r="A15" s="1" t="s">
        <v>15</v>
      </c>
      <c r="B15" s="2">
        <v>0.25</v>
      </c>
    </row>
  </sheetData>
  <sheetProtection algorithmName="SHA-512" hashValue="DVuyz/1+21hP/w/FF32SWp1IUvxFc/hHQm11W4MWCdKcyr1HKm6z/qwqS68sISeKy0yGshXBtwlbjTM5snxBhg==" saltValue="rNxvEkcicdVj6SongRylYQ==" spinCount="100000" sheet="1" objects="1" scenario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showGridLines="0" workbookViewId="0">
      <selection activeCell="D5" sqref="D5:D13"/>
    </sheetView>
  </sheetViews>
  <sheetFormatPr defaultRowHeight="15" x14ac:dyDescent="0.25"/>
  <cols>
    <col min="1" max="1" width="30" customWidth="1"/>
    <col min="2" max="2" width="14" customWidth="1"/>
    <col min="3" max="3" width="16" customWidth="1"/>
    <col min="4" max="4" width="14" customWidth="1"/>
    <col min="5" max="5" width="34" customWidth="1"/>
  </cols>
  <sheetData>
    <row r="1" spans="1:7" x14ac:dyDescent="0.25">
      <c r="A1" s="75" t="s">
        <v>182</v>
      </c>
      <c r="B1" s="76"/>
      <c r="C1" s="76"/>
      <c r="D1" s="76"/>
      <c r="E1" s="76"/>
    </row>
    <row r="3" spans="1:7" ht="15.75" x14ac:dyDescent="0.25">
      <c r="A3" s="77" t="s">
        <v>180</v>
      </c>
      <c r="B3" s="78"/>
      <c r="C3" s="78"/>
      <c r="D3" s="78"/>
      <c r="E3" s="79"/>
    </row>
    <row r="4" spans="1:7" ht="15.75" x14ac:dyDescent="0.25">
      <c r="A4" s="23" t="s">
        <v>37</v>
      </c>
      <c r="B4" s="23" t="s">
        <v>13</v>
      </c>
      <c r="C4" s="23" t="s">
        <v>181</v>
      </c>
      <c r="D4" s="23" t="s">
        <v>15</v>
      </c>
      <c r="E4" s="23" t="s">
        <v>38</v>
      </c>
    </row>
    <row r="5" spans="1:7" x14ac:dyDescent="0.25">
      <c r="A5" s="1" t="s">
        <v>34</v>
      </c>
      <c r="B5" s="40"/>
      <c r="C5" s="4">
        <f>Calculator!C8</f>
        <v>0</v>
      </c>
      <c r="D5" s="40"/>
      <c r="E5" s="1" t="s">
        <v>39</v>
      </c>
    </row>
    <row r="6" spans="1:7" x14ac:dyDescent="0.25">
      <c r="A6" s="1" t="s">
        <v>21</v>
      </c>
      <c r="B6" s="33"/>
      <c r="C6" s="2" t="e">
        <f>Calculator!C12</f>
        <v>#N/A</v>
      </c>
      <c r="D6" s="33"/>
      <c r="E6" s="1" t="s">
        <v>40</v>
      </c>
    </row>
    <row r="7" spans="1:7" x14ac:dyDescent="0.25">
      <c r="A7" s="1" t="s">
        <v>41</v>
      </c>
      <c r="B7" s="33"/>
      <c r="C7" s="2" t="e">
        <f>Calculator!C14</f>
        <v>#N/A</v>
      </c>
      <c r="D7" s="33"/>
      <c r="E7" s="1" t="s">
        <v>40</v>
      </c>
    </row>
    <row r="8" spans="1:7" x14ac:dyDescent="0.25">
      <c r="A8" s="1" t="s">
        <v>35</v>
      </c>
      <c r="B8" s="33"/>
      <c r="C8" s="2" t="e">
        <f>Calculator!C15</f>
        <v>#N/A</v>
      </c>
      <c r="D8" s="33"/>
      <c r="E8" s="1" t="s">
        <v>42</v>
      </c>
    </row>
    <row r="9" spans="1:7" x14ac:dyDescent="0.25">
      <c r="A9" s="1" t="s">
        <v>36</v>
      </c>
      <c r="B9" s="34"/>
      <c r="C9" s="65" t="e">
        <f>Calculator!C13</f>
        <v>#N/A</v>
      </c>
      <c r="D9" s="34"/>
      <c r="E9" s="1" t="s">
        <v>43</v>
      </c>
      <c r="G9" s="28"/>
    </row>
    <row r="10" spans="1:7" x14ac:dyDescent="0.25">
      <c r="A10" s="1" t="s">
        <v>44</v>
      </c>
      <c r="B10" s="40"/>
      <c r="C10" s="4">
        <f>Calculator!C9</f>
        <v>0</v>
      </c>
      <c r="D10" s="40"/>
      <c r="E10" s="1" t="s">
        <v>45</v>
      </c>
      <c r="G10" s="29"/>
    </row>
    <row r="11" spans="1:7" x14ac:dyDescent="0.25">
      <c r="A11" s="1" t="s">
        <v>46</v>
      </c>
      <c r="B11" s="33"/>
      <c r="C11" s="2" t="e">
        <f>Calculator!C18</f>
        <v>#N/A</v>
      </c>
      <c r="D11" s="33"/>
      <c r="E11" s="1" t="s">
        <v>40</v>
      </c>
      <c r="G11" s="29"/>
    </row>
    <row r="12" spans="1:7" ht="30" x14ac:dyDescent="0.25">
      <c r="A12" s="1" t="s">
        <v>33</v>
      </c>
      <c r="B12" s="40"/>
      <c r="C12" s="4">
        <f>Calculator!C34</f>
        <v>0</v>
      </c>
      <c r="D12" s="40"/>
      <c r="E12" s="1" t="s">
        <v>47</v>
      </c>
      <c r="G12" s="29"/>
    </row>
    <row r="13" spans="1:7" x14ac:dyDescent="0.25">
      <c r="A13" s="1" t="s">
        <v>48</v>
      </c>
      <c r="B13" s="33"/>
      <c r="C13" s="2" t="e">
        <f>Calculator!C19</f>
        <v>#N/A</v>
      </c>
      <c r="D13" s="33"/>
      <c r="E13" s="1" t="s">
        <v>40</v>
      </c>
      <c r="G13" s="30"/>
    </row>
    <row r="14" spans="1:7" x14ac:dyDescent="0.25">
      <c r="G14" s="28"/>
    </row>
    <row r="15" spans="1:7" ht="15.75" x14ac:dyDescent="0.25">
      <c r="A15" s="77" t="s">
        <v>51</v>
      </c>
      <c r="B15" s="78"/>
      <c r="C15" s="78"/>
      <c r="D15" s="78"/>
      <c r="E15" s="79"/>
      <c r="G15" s="29"/>
    </row>
    <row r="16" spans="1:7" ht="31.5" x14ac:dyDescent="0.25">
      <c r="A16" s="23" t="s">
        <v>49</v>
      </c>
      <c r="B16" s="23" t="s">
        <v>233</v>
      </c>
      <c r="C16" s="23" t="s">
        <v>234</v>
      </c>
      <c r="D16" s="23" t="s">
        <v>232</v>
      </c>
      <c r="E16" s="23" t="s">
        <v>20</v>
      </c>
      <c r="G16" s="28"/>
    </row>
    <row r="17" spans="1:7" ht="30" customHeight="1" x14ac:dyDescent="0.25">
      <c r="A17" s="6" t="s">
        <v>13</v>
      </c>
      <c r="B17" s="46">
        <f>ROUND(B5*B6*B7*(1-B8)*B9,0)</f>
        <v>0</v>
      </c>
      <c r="C17" s="46" t="e">
        <f>ROUND(B10*Calculator!C16*Calculator!C17,0)</f>
        <v>#N/A</v>
      </c>
      <c r="D17" s="45" t="e">
        <f>ROUND((((B5*B6*B7*(1-B8)*B9)+(B10*Calculator!C16*Calculator!C17))+MAX(((B5*B6*B7*(1-B8)*B9)+(B10*Calculator!C16*Calculator!C17))*B11,B12))/B13,0)</f>
        <v>#N/A</v>
      </c>
      <c r="E17" s="80" t="s">
        <v>235</v>
      </c>
      <c r="G17" s="29"/>
    </row>
    <row r="18" spans="1:7" ht="30" customHeight="1" x14ac:dyDescent="0.25">
      <c r="A18" s="6" t="s">
        <v>50</v>
      </c>
      <c r="B18" s="46" t="e">
        <f>ROUND(C5*C6*C7*(1-C8)*C9,0)</f>
        <v>#N/A</v>
      </c>
      <c r="C18" s="46" t="e">
        <f>ROUND(C10*Calculator!C16*Calculator!C17,0)</f>
        <v>#N/A</v>
      </c>
      <c r="D18" s="45" t="e">
        <f>ROUND((((C5*C6*C7*(1-C8)*C9)+(C10*Calculator!C16*Calculator!C17))+MAX(((C5*C6*C7*(1-C8)*C9)+(C10*Calculator!C16*Calculator!C17))*C11,C12))/C13,0)</f>
        <v>#N/A</v>
      </c>
      <c r="E18" s="81"/>
    </row>
    <row r="19" spans="1:7" ht="30" customHeight="1" x14ac:dyDescent="0.25">
      <c r="A19" s="6" t="s">
        <v>15</v>
      </c>
      <c r="B19" s="46">
        <f>ROUND(D5*D6*D7*(1-D8)*D9,0)</f>
        <v>0</v>
      </c>
      <c r="C19" s="46" t="e">
        <f>ROUND(D10*Calculator!C16*Calculator!C17,0)</f>
        <v>#N/A</v>
      </c>
      <c r="D19" s="45" t="e">
        <f>ROUND((((D5*D6*D7*(1-D8)*D9)+(D10*Calculator!C16*Calculator!C17))+MAX(((D5*D6*D7*(1-D8)*D9)+(D10*Calculator!C16*Calculator!C17))*D11,D12))/D13,0)</f>
        <v>#N/A</v>
      </c>
      <c r="E19" s="82"/>
    </row>
  </sheetData>
  <sheetProtection algorithmName="SHA-512" hashValue="sHJHZI6lDk6FbH2U9iusGnoGFVxCY86FRLofnptRCyBMkbfLtQgzdj1RvIM3/FdSrG8Nr5/NXL6a+sOfS5iOgQ==" saltValue="Gk5X+StpzGBQLn+aSkHsYg==" spinCount="100000" sheet="1" objects="1" scenarios="1"/>
  <mergeCells count="4">
    <mergeCell ref="A1:E1"/>
    <mergeCell ref="A3:E3"/>
    <mergeCell ref="A15:E15"/>
    <mergeCell ref="E17:E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36BC-13F8-4D36-8082-27DA15989D5C}">
  <dimension ref="B2:F61"/>
  <sheetViews>
    <sheetView topLeftCell="A5" workbookViewId="0">
      <selection activeCell="I20" sqref="I20"/>
    </sheetView>
  </sheetViews>
  <sheetFormatPr defaultRowHeight="15" x14ac:dyDescent="0.25"/>
  <cols>
    <col min="2" max="2" width="63.5703125" bestFit="1" customWidth="1"/>
    <col min="3" max="3" width="17.5703125" customWidth="1"/>
    <col min="4" max="4" width="13.7109375" customWidth="1"/>
    <col min="5" max="5" width="20.28515625" customWidth="1"/>
    <col min="6" max="6" width="60.42578125" customWidth="1"/>
  </cols>
  <sheetData>
    <row r="2" spans="2:6" x14ac:dyDescent="0.25">
      <c r="B2" s="84" t="s">
        <v>226</v>
      </c>
      <c r="C2" s="84"/>
      <c r="D2" s="84"/>
      <c r="E2" s="84"/>
      <c r="F2" s="84"/>
    </row>
    <row r="4" spans="2:6" ht="15.75" thickBot="1" x14ac:dyDescent="0.3">
      <c r="B4" s="10" t="s">
        <v>99</v>
      </c>
    </row>
    <row r="5" spans="2:6" ht="30" x14ac:dyDescent="0.25">
      <c r="B5" s="48" t="s">
        <v>57</v>
      </c>
      <c r="C5" s="49" t="s">
        <v>58</v>
      </c>
      <c r="D5" s="49" t="s">
        <v>59</v>
      </c>
      <c r="E5" s="49" t="s">
        <v>60</v>
      </c>
      <c r="F5" s="50" t="s">
        <v>20</v>
      </c>
    </row>
    <row r="6" spans="2:6" x14ac:dyDescent="0.25">
      <c r="B6" s="51" t="s">
        <v>61</v>
      </c>
      <c r="C6" s="12" t="s">
        <v>62</v>
      </c>
      <c r="D6" s="12" t="s">
        <v>63</v>
      </c>
      <c r="E6" s="12" t="s">
        <v>14</v>
      </c>
      <c r="F6" s="52" t="s">
        <v>64</v>
      </c>
    </row>
    <row r="7" spans="2:6" x14ac:dyDescent="0.25">
      <c r="B7" s="51" t="s">
        <v>65</v>
      </c>
      <c r="C7" s="12" t="s">
        <v>66</v>
      </c>
      <c r="D7" s="12" t="s">
        <v>67</v>
      </c>
      <c r="E7" s="12" t="s">
        <v>68</v>
      </c>
      <c r="F7" s="52" t="s">
        <v>69</v>
      </c>
    </row>
    <row r="8" spans="2:6" x14ac:dyDescent="0.25">
      <c r="B8" s="51" t="s">
        <v>70</v>
      </c>
      <c r="C8" s="12" t="s">
        <v>71</v>
      </c>
      <c r="D8" s="12" t="s">
        <v>72</v>
      </c>
      <c r="E8" s="12" t="s">
        <v>15</v>
      </c>
      <c r="F8" s="52" t="s">
        <v>73</v>
      </c>
    </row>
    <row r="9" spans="2:6" x14ac:dyDescent="0.25">
      <c r="B9" s="51" t="s">
        <v>74</v>
      </c>
      <c r="C9" s="12" t="s">
        <v>75</v>
      </c>
      <c r="D9" s="12" t="s">
        <v>76</v>
      </c>
      <c r="E9" s="12" t="s">
        <v>77</v>
      </c>
      <c r="F9" s="52" t="s">
        <v>78</v>
      </c>
    </row>
    <row r="10" spans="2:6" ht="15.75" thickBot="1" x14ac:dyDescent="0.3">
      <c r="B10" s="53" t="s">
        <v>79</v>
      </c>
      <c r="C10" s="54" t="s">
        <v>80</v>
      </c>
      <c r="D10" s="54" t="s">
        <v>81</v>
      </c>
      <c r="E10" s="54" t="s">
        <v>82</v>
      </c>
      <c r="F10" s="56" t="s">
        <v>83</v>
      </c>
    </row>
    <row r="12" spans="2:6" ht="15.75" thickBot="1" x14ac:dyDescent="0.3">
      <c r="B12" s="10" t="s">
        <v>98</v>
      </c>
    </row>
    <row r="13" spans="2:6" ht="30" x14ac:dyDescent="0.25">
      <c r="B13" s="57" t="s">
        <v>57</v>
      </c>
      <c r="C13" s="58" t="s">
        <v>84</v>
      </c>
      <c r="D13" s="58" t="s">
        <v>59</v>
      </c>
      <c r="E13" s="58" t="s">
        <v>85</v>
      </c>
      <c r="F13" s="50" t="s">
        <v>20</v>
      </c>
    </row>
    <row r="14" spans="2:6" x14ac:dyDescent="0.25">
      <c r="B14" s="60" t="s">
        <v>86</v>
      </c>
      <c r="C14" s="67">
        <v>0.85</v>
      </c>
      <c r="D14" s="67" t="s">
        <v>227</v>
      </c>
      <c r="E14" s="13" t="s">
        <v>88</v>
      </c>
      <c r="F14" s="61" t="s">
        <v>89</v>
      </c>
    </row>
    <row r="15" spans="2:6" x14ac:dyDescent="0.25">
      <c r="B15" s="60" t="s">
        <v>65</v>
      </c>
      <c r="C15" s="67">
        <v>0.88</v>
      </c>
      <c r="D15" s="67" t="s">
        <v>229</v>
      </c>
      <c r="E15" s="13" t="s">
        <v>68</v>
      </c>
      <c r="F15" s="61" t="s">
        <v>90</v>
      </c>
    </row>
    <row r="16" spans="2:6" x14ac:dyDescent="0.25">
      <c r="B16" s="60" t="s">
        <v>70</v>
      </c>
      <c r="C16" s="67">
        <v>0.9</v>
      </c>
      <c r="D16" s="67" t="s">
        <v>228</v>
      </c>
      <c r="E16" s="13" t="s">
        <v>14</v>
      </c>
      <c r="F16" s="52" t="s">
        <v>73</v>
      </c>
    </row>
    <row r="17" spans="2:6" x14ac:dyDescent="0.25">
      <c r="B17" s="60" t="s">
        <v>74</v>
      </c>
      <c r="C17" s="67">
        <v>0.92</v>
      </c>
      <c r="D17" s="67" t="s">
        <v>230</v>
      </c>
      <c r="E17" s="13" t="s">
        <v>93</v>
      </c>
      <c r="F17" s="61" t="s">
        <v>94</v>
      </c>
    </row>
    <row r="18" spans="2:6" ht="15.75" thickBot="1" x14ac:dyDescent="0.3">
      <c r="B18" s="62" t="s">
        <v>95</v>
      </c>
      <c r="C18" s="68">
        <v>0.95</v>
      </c>
      <c r="D18" s="68" t="s">
        <v>231</v>
      </c>
      <c r="E18" s="63" t="s">
        <v>96</v>
      </c>
      <c r="F18" s="64" t="s">
        <v>97</v>
      </c>
    </row>
    <row r="19" spans="2:6" x14ac:dyDescent="0.25">
      <c r="B19" s="16"/>
      <c r="C19" s="7"/>
      <c r="D19" s="7"/>
      <c r="E19" s="7"/>
      <c r="F19" s="7"/>
    </row>
    <row r="20" spans="2:6" ht="15.75" thickBot="1" x14ac:dyDescent="0.3">
      <c r="B20" s="83" t="s">
        <v>117</v>
      </c>
      <c r="C20" s="83"/>
      <c r="D20" s="83"/>
      <c r="E20" s="83"/>
      <c r="F20" s="83"/>
    </row>
    <row r="21" spans="2:6" ht="30" x14ac:dyDescent="0.25">
      <c r="B21" s="57" t="s">
        <v>57</v>
      </c>
      <c r="C21" s="58" t="s">
        <v>102</v>
      </c>
      <c r="D21" s="58" t="s">
        <v>59</v>
      </c>
      <c r="E21" s="58" t="s">
        <v>103</v>
      </c>
      <c r="F21" s="59" t="s">
        <v>20</v>
      </c>
    </row>
    <row r="22" spans="2:6" x14ac:dyDescent="0.25">
      <c r="B22" s="60" t="s">
        <v>104</v>
      </c>
      <c r="C22" s="13" t="s">
        <v>105</v>
      </c>
      <c r="D22" s="13" t="s">
        <v>106</v>
      </c>
      <c r="E22" s="13" t="s">
        <v>15</v>
      </c>
      <c r="F22" s="61" t="s">
        <v>107</v>
      </c>
    </row>
    <row r="23" spans="2:6" x14ac:dyDescent="0.25">
      <c r="B23" s="60" t="s">
        <v>65</v>
      </c>
      <c r="C23" s="13" t="s">
        <v>108</v>
      </c>
      <c r="D23" s="13" t="s">
        <v>109</v>
      </c>
      <c r="E23" s="13" t="s">
        <v>14</v>
      </c>
      <c r="F23" s="61" t="s">
        <v>110</v>
      </c>
    </row>
    <row r="24" spans="2:6" x14ac:dyDescent="0.25">
      <c r="B24" s="60" t="s">
        <v>70</v>
      </c>
      <c r="C24" s="13">
        <v>0.85</v>
      </c>
      <c r="D24" s="13" t="s">
        <v>87</v>
      </c>
      <c r="E24" s="13" t="s">
        <v>14</v>
      </c>
      <c r="F24" s="52" t="s">
        <v>73</v>
      </c>
    </row>
    <row r="25" spans="2:6" x14ac:dyDescent="0.25">
      <c r="B25" s="60" t="s">
        <v>74</v>
      </c>
      <c r="C25" s="13" t="s">
        <v>91</v>
      </c>
      <c r="D25" s="13" t="s">
        <v>112</v>
      </c>
      <c r="E25" s="13" t="s">
        <v>13</v>
      </c>
      <c r="F25" s="61" t="s">
        <v>113</v>
      </c>
    </row>
    <row r="26" spans="2:6" ht="15.75" thickBot="1" x14ac:dyDescent="0.3">
      <c r="B26" s="62" t="s">
        <v>114</v>
      </c>
      <c r="C26" s="63" t="s">
        <v>92</v>
      </c>
      <c r="D26" s="63" t="s">
        <v>115</v>
      </c>
      <c r="E26" s="63" t="s">
        <v>13</v>
      </c>
      <c r="F26" s="64" t="s">
        <v>116</v>
      </c>
    </row>
    <row r="28" spans="2:6" ht="15.75" thickBot="1" x14ac:dyDescent="0.3">
      <c r="B28" s="83" t="s">
        <v>135</v>
      </c>
      <c r="C28" s="83"/>
      <c r="D28" s="83"/>
      <c r="E28" s="83"/>
      <c r="F28" s="83"/>
    </row>
    <row r="29" spans="2:6" ht="30" x14ac:dyDescent="0.25">
      <c r="B29" s="57" t="s">
        <v>57</v>
      </c>
      <c r="C29" s="58" t="s">
        <v>118</v>
      </c>
      <c r="D29" s="58" t="s">
        <v>59</v>
      </c>
      <c r="E29" s="58" t="s">
        <v>119</v>
      </c>
      <c r="F29" s="59" t="s">
        <v>20</v>
      </c>
    </row>
    <row r="30" spans="2:6" x14ac:dyDescent="0.25">
      <c r="B30" s="60" t="s">
        <v>120</v>
      </c>
      <c r="C30" s="13" t="s">
        <v>66</v>
      </c>
      <c r="D30" s="13" t="s">
        <v>67</v>
      </c>
      <c r="E30" s="13" t="s">
        <v>15</v>
      </c>
      <c r="F30" s="61" t="s">
        <v>121</v>
      </c>
    </row>
    <row r="31" spans="2:6" x14ac:dyDescent="0.25">
      <c r="B31" s="60" t="s">
        <v>65</v>
      </c>
      <c r="C31" s="13" t="s">
        <v>122</v>
      </c>
      <c r="D31" s="13" t="s">
        <v>123</v>
      </c>
      <c r="E31" s="13" t="s">
        <v>14</v>
      </c>
      <c r="F31" s="61" t="s">
        <v>124</v>
      </c>
    </row>
    <row r="32" spans="2:6" x14ac:dyDescent="0.25">
      <c r="B32" s="60" t="s">
        <v>70</v>
      </c>
      <c r="C32" s="13" t="s">
        <v>125</v>
      </c>
      <c r="D32" s="13" t="s">
        <v>126</v>
      </c>
      <c r="E32" s="13" t="s">
        <v>13</v>
      </c>
      <c r="F32" s="52" t="s">
        <v>73</v>
      </c>
    </row>
    <row r="33" spans="2:6" x14ac:dyDescent="0.25">
      <c r="B33" s="60" t="s">
        <v>74</v>
      </c>
      <c r="C33" s="13" t="s">
        <v>127</v>
      </c>
      <c r="D33" s="13" t="s">
        <v>128</v>
      </c>
      <c r="E33" s="13" t="s">
        <v>129</v>
      </c>
      <c r="F33" s="61" t="s">
        <v>130</v>
      </c>
    </row>
    <row r="34" spans="2:6" ht="15.75" thickBot="1" x14ac:dyDescent="0.3">
      <c r="B34" s="62" t="s">
        <v>131</v>
      </c>
      <c r="C34" s="63" t="s">
        <v>132</v>
      </c>
      <c r="D34" s="63" t="s">
        <v>133</v>
      </c>
      <c r="E34" s="63" t="s">
        <v>15</v>
      </c>
      <c r="F34" s="64" t="s">
        <v>134</v>
      </c>
    </row>
    <row r="36" spans="2:6" ht="15.75" thickBot="1" x14ac:dyDescent="0.3">
      <c r="B36" t="s">
        <v>136</v>
      </c>
    </row>
    <row r="37" spans="2:6" ht="30" x14ac:dyDescent="0.25">
      <c r="B37" s="57" t="s">
        <v>57</v>
      </c>
      <c r="C37" s="58" t="s">
        <v>137</v>
      </c>
      <c r="D37" s="58" t="s">
        <v>59</v>
      </c>
      <c r="E37" s="58" t="s">
        <v>138</v>
      </c>
      <c r="F37" s="50" t="s">
        <v>20</v>
      </c>
    </row>
    <row r="38" spans="2:6" x14ac:dyDescent="0.25">
      <c r="B38" s="60" t="s">
        <v>139</v>
      </c>
      <c r="C38" s="13">
        <v>0.8</v>
      </c>
      <c r="D38" s="13" t="s">
        <v>140</v>
      </c>
      <c r="E38" s="13" t="s">
        <v>15</v>
      </c>
      <c r="F38" s="61" t="s">
        <v>141</v>
      </c>
    </row>
    <row r="39" spans="2:6" x14ac:dyDescent="0.25">
      <c r="B39" s="60" t="s">
        <v>65</v>
      </c>
      <c r="C39" s="13">
        <v>0.85</v>
      </c>
      <c r="D39" s="13" t="s">
        <v>142</v>
      </c>
      <c r="E39" s="13" t="s">
        <v>14</v>
      </c>
      <c r="F39" s="61" t="s">
        <v>143</v>
      </c>
    </row>
    <row r="40" spans="2:6" x14ac:dyDescent="0.25">
      <c r="B40" s="60" t="s">
        <v>70</v>
      </c>
      <c r="C40" s="13">
        <v>0.9</v>
      </c>
      <c r="D40" s="13" t="s">
        <v>112</v>
      </c>
      <c r="E40" s="13" t="s">
        <v>93</v>
      </c>
      <c r="F40" s="61" t="s">
        <v>111</v>
      </c>
    </row>
    <row r="41" spans="2:6" x14ac:dyDescent="0.25">
      <c r="B41" s="60" t="s">
        <v>74</v>
      </c>
      <c r="C41" s="13">
        <v>0.92</v>
      </c>
      <c r="D41" s="13" t="s">
        <v>144</v>
      </c>
      <c r="E41" s="13" t="s">
        <v>13</v>
      </c>
      <c r="F41" s="61" t="s">
        <v>145</v>
      </c>
    </row>
    <row r="42" spans="2:6" ht="15.75" thickBot="1" x14ac:dyDescent="0.3">
      <c r="B42" s="62" t="s">
        <v>146</v>
      </c>
      <c r="C42" s="63">
        <v>0.85</v>
      </c>
      <c r="D42" s="63" t="s">
        <v>109</v>
      </c>
      <c r="E42" s="63" t="s">
        <v>14</v>
      </c>
      <c r="F42" s="64" t="s">
        <v>147</v>
      </c>
    </row>
    <row r="44" spans="2:6" ht="15.75" thickBot="1" x14ac:dyDescent="0.3">
      <c r="B44" t="s">
        <v>148</v>
      </c>
    </row>
    <row r="45" spans="2:6" ht="30" x14ac:dyDescent="0.25">
      <c r="B45" s="57" t="s">
        <v>57</v>
      </c>
      <c r="C45" s="58" t="s">
        <v>149</v>
      </c>
      <c r="D45" s="58" t="s">
        <v>59</v>
      </c>
      <c r="E45" s="58" t="s">
        <v>150</v>
      </c>
      <c r="F45" s="59" t="s">
        <v>20</v>
      </c>
    </row>
    <row r="46" spans="2:6" x14ac:dyDescent="0.25">
      <c r="B46" s="60" t="s">
        <v>151</v>
      </c>
      <c r="C46" s="17">
        <v>0.9</v>
      </c>
      <c r="D46" s="13" t="s">
        <v>152</v>
      </c>
      <c r="E46" s="13" t="s">
        <v>153</v>
      </c>
      <c r="F46" s="61" t="s">
        <v>154</v>
      </c>
    </row>
    <row r="47" spans="2:6" x14ac:dyDescent="0.25">
      <c r="B47" s="60" t="s">
        <v>65</v>
      </c>
      <c r="C47" s="17">
        <v>0.89</v>
      </c>
      <c r="D47" s="13" t="s">
        <v>155</v>
      </c>
      <c r="E47" s="13" t="s">
        <v>156</v>
      </c>
      <c r="F47" s="61" t="s">
        <v>157</v>
      </c>
    </row>
    <row r="48" spans="2:6" x14ac:dyDescent="0.25">
      <c r="B48" s="60" t="s">
        <v>70</v>
      </c>
      <c r="C48" s="17">
        <v>0.88</v>
      </c>
      <c r="D48" s="13" t="s">
        <v>158</v>
      </c>
      <c r="E48" s="13" t="s">
        <v>159</v>
      </c>
      <c r="F48" s="61" t="s">
        <v>160</v>
      </c>
    </row>
    <row r="49" spans="2:6" x14ac:dyDescent="0.25">
      <c r="B49" s="60" t="s">
        <v>74</v>
      </c>
      <c r="C49" s="17">
        <v>0.9</v>
      </c>
      <c r="D49" s="13" t="s">
        <v>152</v>
      </c>
      <c r="E49" s="13" t="s">
        <v>161</v>
      </c>
      <c r="F49" s="61" t="s">
        <v>162</v>
      </c>
    </row>
    <row r="50" spans="2:6" ht="15.75" thickBot="1" x14ac:dyDescent="0.3">
      <c r="B50" s="62" t="s">
        <v>163</v>
      </c>
      <c r="C50" s="63" t="s">
        <v>164</v>
      </c>
      <c r="D50" s="63" t="s">
        <v>165</v>
      </c>
      <c r="E50" s="63" t="s">
        <v>166</v>
      </c>
      <c r="F50" s="64" t="s">
        <v>167</v>
      </c>
    </row>
    <row r="52" spans="2:6" ht="15.75" thickBot="1" x14ac:dyDescent="0.3">
      <c r="B52" s="83" t="s">
        <v>195</v>
      </c>
      <c r="C52" s="83"/>
      <c r="D52" s="83"/>
      <c r="E52" s="83"/>
      <c r="F52" s="83"/>
    </row>
    <row r="53" spans="2:6" s="47" customFormat="1" ht="30" x14ac:dyDescent="0.25">
      <c r="B53" s="48" t="s">
        <v>196</v>
      </c>
      <c r="C53" s="49" t="s">
        <v>197</v>
      </c>
      <c r="D53" s="49" t="s">
        <v>198</v>
      </c>
      <c r="E53" s="49" t="s">
        <v>225</v>
      </c>
      <c r="F53" s="50" t="s">
        <v>20</v>
      </c>
    </row>
    <row r="54" spans="2:6" x14ac:dyDescent="0.25">
      <c r="B54" s="51" t="s">
        <v>199</v>
      </c>
      <c r="C54" s="12" t="s">
        <v>200</v>
      </c>
      <c r="D54" s="11">
        <v>2.8</v>
      </c>
      <c r="E54" s="12" t="s">
        <v>15</v>
      </c>
      <c r="F54" s="52" t="s">
        <v>201</v>
      </c>
    </row>
    <row r="55" spans="2:6" x14ac:dyDescent="0.25">
      <c r="B55" s="51" t="s">
        <v>202</v>
      </c>
      <c r="C55" s="12" t="s">
        <v>203</v>
      </c>
      <c r="D55" s="11">
        <v>1.35</v>
      </c>
      <c r="E55" s="12" t="s">
        <v>15</v>
      </c>
      <c r="F55" s="52" t="s">
        <v>204</v>
      </c>
    </row>
    <row r="56" spans="2:6" x14ac:dyDescent="0.25">
      <c r="B56" s="51" t="s">
        <v>205</v>
      </c>
      <c r="C56" s="12" t="s">
        <v>206</v>
      </c>
      <c r="D56" s="11">
        <v>1.5</v>
      </c>
      <c r="E56" s="12" t="s">
        <v>207</v>
      </c>
      <c r="F56" s="52" t="s">
        <v>208</v>
      </c>
    </row>
    <row r="57" spans="2:6" x14ac:dyDescent="0.25">
      <c r="B57" s="51" t="s">
        <v>209</v>
      </c>
      <c r="C57" s="12" t="s">
        <v>210</v>
      </c>
      <c r="D57" s="11">
        <v>2.2999999999999998</v>
      </c>
      <c r="E57" s="12" t="s">
        <v>211</v>
      </c>
      <c r="F57" s="52" t="s">
        <v>212</v>
      </c>
    </row>
    <row r="58" spans="2:6" x14ac:dyDescent="0.25">
      <c r="B58" s="51" t="s">
        <v>213</v>
      </c>
      <c r="C58" s="12" t="s">
        <v>214</v>
      </c>
      <c r="D58" s="11">
        <v>2.5</v>
      </c>
      <c r="E58" s="12" t="s">
        <v>211</v>
      </c>
      <c r="F58" s="52" t="s">
        <v>215</v>
      </c>
    </row>
    <row r="59" spans="2:6" x14ac:dyDescent="0.25">
      <c r="B59" s="51" t="s">
        <v>216</v>
      </c>
      <c r="C59" s="12" t="s">
        <v>217</v>
      </c>
      <c r="D59" s="11">
        <v>2.4</v>
      </c>
      <c r="E59" s="12" t="s">
        <v>207</v>
      </c>
      <c r="F59" s="52" t="s">
        <v>218</v>
      </c>
    </row>
    <row r="60" spans="2:6" x14ac:dyDescent="0.25">
      <c r="B60" s="51" t="s">
        <v>219</v>
      </c>
      <c r="C60" s="12" t="s">
        <v>220</v>
      </c>
      <c r="D60" s="11">
        <v>1.6</v>
      </c>
      <c r="E60" s="12" t="s">
        <v>211</v>
      </c>
      <c r="F60" s="52" t="s">
        <v>221</v>
      </c>
    </row>
    <row r="61" spans="2:6" ht="15.75" thickBot="1" x14ac:dyDescent="0.3">
      <c r="B61" s="53" t="s">
        <v>222</v>
      </c>
      <c r="C61" s="54" t="s">
        <v>223</v>
      </c>
      <c r="D61" s="55">
        <v>1.25</v>
      </c>
      <c r="E61" s="54" t="s">
        <v>15</v>
      </c>
      <c r="F61" s="56" t="s">
        <v>224</v>
      </c>
    </row>
  </sheetData>
  <sheetProtection algorithmName="SHA-512" hashValue="4f+sKKxJVeJDKolO5W0SCG6TsSNGnAi1dny46d1pjH1Bds9XTpbgBQ4SM/AkCWJpD4zlTNTVCba96n+O55jbag==" saltValue="X9+8J6M6tNQk4JZyvjs7mA==" spinCount="100000" sheet="1" objects="1" scenarios="1"/>
  <mergeCells count="4">
    <mergeCell ref="B20:F20"/>
    <mergeCell ref="B28:F28"/>
    <mergeCell ref="B52:F52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Default Values</vt:lpstr>
      <vt:lpstr>Range Calculator</vt:lpstr>
      <vt:lpstr>Factors and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Farley, Brandon</cp:lastModifiedBy>
  <dcterms:created xsi:type="dcterms:W3CDTF">2026-02-18T15:50:16Z</dcterms:created>
  <dcterms:modified xsi:type="dcterms:W3CDTF">2026-02-19T19:21:27Z</dcterms:modified>
</cp:coreProperties>
</file>